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'Cash-Flow-2023'!$B$1:$P$159</definedName>
    <definedName name="_xlnm.Print_Area" localSheetId="1">'Cash-Flow-2023-Leva'!$B$1:$P$171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<sst xmlns="http://schemas.openxmlformats.org/spreadsheetml/2006/main" count="673" uniqueCount="458">
  <si>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</si>
  <si>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</si>
  <si>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</si>
  <si>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</si>
  <si>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</si>
  <si>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</si>
  <si>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</si>
  <si>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</si>
  <si>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</si>
  <si>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</si>
  <si>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</si>
  <si>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</si>
  <si>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</si>
  <si>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</si>
  <si>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</si>
  <si>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</si>
  <si>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</si>
  <si>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</si>
  <si>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</si>
  <si>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</si>
  <si>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</si>
  <si>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</si>
  <si>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</si>
  <si>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</si>
  <si>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</si>
  <si>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</si>
  <si>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</si>
  <si>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</si>
  <si>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</si>
  <si>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</si>
  <si>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</si>
  <si>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</si>
  <si>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</si>
  <si>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</si>
  <si>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</si>
  <si>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</si>
  <si>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</si>
  <si>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</si>
  <si>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</si>
  <si>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</si>
  <si>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</si>
  <si>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</si>
  <si>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</si>
  <si>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</si>
  <si>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</si>
  <si>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</si>
  <si>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</si>
  <si>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</si>
  <si>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</si>
  <si>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</si>
  <si>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</si>
  <si>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</si>
  <si>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</si>
  <si>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</si>
  <si>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</si>
  <si>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</si>
  <si>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</si>
  <si>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</si>
  <si>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</si>
  <si>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</si>
  <si>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</si>
  <si>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</si>
  <si>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</si>
  <si>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</si>
  <si>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</si>
  <si>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</si>
  <si>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</si>
  <si>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</si>
  <si>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</si>
  <si>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</si>
  <si>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</si>
  <si>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</si>
  <si>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</si>
  <si>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</si>
  <si>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</si>
  <si>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</si>
  <si>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</si>
  <si>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</si>
  <si>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</si>
  <si>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</si>
  <si>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</si>
  <si>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</si>
  <si>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</si>
  <si>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</si>
  <si>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</si>
  <si>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</si>
  <si>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</si>
  <si>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</si>
  <si>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</si>
  <si>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</si>
  <si>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</si>
  <si>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</si>
  <si>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</si>
  <si>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</si>
  <si>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</si>
  <si>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</si>
  <si>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</si>
  <si>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</si>
  <si>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</si>
  <si>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</si>
  <si>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</si>
  <si>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</si>
  <si>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</si>
  <si>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</si>
  <si>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</si>
  <si>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</si>
  <si>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</si>
  <si>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</si>
  <si>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</si>
  <si>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</si>
  <si>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</si>
  <si>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</si>
  <si>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</si>
  <si>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</si>
  <si>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</si>
  <si>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</si>
  <si>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</si>
  <si>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</si>
  <si>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</si>
  <si>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</si>
  <si>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</si>
  <si>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</si>
  <si>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</si>
  <si>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</si>
  <si>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</si>
  <si>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</si>
  <si>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</si>
  <si>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</si>
  <si>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</si>
  <si>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</si>
  <si>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</si>
  <si>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</si>
  <si>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</si>
  <si>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</si>
  <si>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</si>
  <si>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</si>
  <si>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</si>
  <si>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</si>
  <si>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</si>
  <si>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</si>
  <si>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</si>
  <si>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</si>
  <si>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</si>
  <si>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</si>
  <si>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</si>
  <si>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</si>
  <si>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</si>
  <si>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</si>
  <si>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</si>
  <si>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</si>
  <si>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</si>
  <si>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</si>
  <si>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</si>
  <si>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</si>
  <si>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</si>
  <si>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</si>
  <si>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</si>
  <si>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</si>
  <si>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</si>
  <si>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</si>
  <si>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</si>
  <si>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</si>
  <si>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</si>
  <si>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</si>
  <si>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</si>
  <si>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</si>
  <si>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</si>
  <si>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</si>
  <si>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</si>
  <si>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</si>
  <si>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</si>
  <si>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</si>
  <si>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</si>
  <si>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</si>
  <si>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</si>
  <si>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</si>
  <si>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</si>
  <si>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</si>
  <si>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</si>
  <si>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</si>
  <si>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</si>
  <si>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</si>
  <si>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</si>
  <si>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</si>
  <si>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</si>
  <si>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</si>
  <si>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</si>
  <si>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</si>
  <si>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</si>
  <si>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</si>
  <si>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</si>
  <si>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</si>
  <si>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</si>
  <si>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</si>
  <si>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</si>
  <si>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</si>
  <si>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</si>
  <si>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</si>
  <si>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</si>
  <si>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</si>
  <si>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</si>
  <si>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</si>
  <si>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</si>
  <si>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</si>
  <si>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</si>
  <si>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</si>
  <si>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</si>
  <si>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</si>
  <si>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</si>
  <si>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</si>
  <si>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</si>
  <si>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</si>
  <si>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</si>
  <si>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</si>
  <si>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</si>
  <si>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</si>
  <si>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</si>
  <si>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</si>
  <si>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</si>
  <si>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</si>
  <si>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</si>
  <si>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</si>
  <si>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</si>
  <si>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</si>
  <si>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</si>
  <si>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</si>
  <si>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</si>
  <si>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</si>
  <si>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</si>
  <si>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</si>
  <si>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</si>
  <si>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</si>
  <si>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</si>
  <si>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</si>
  <si>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</si>
  <si>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</si>
  <si>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</si>
  <si>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</si>
  <si>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</si>
  <si>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</si>
  <si>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</si>
  <si>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</si>
  <si>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</si>
  <si>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</si>
  <si>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</si>
  <si>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</si>
  <si>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</si>
  <si>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</si>
  <si>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</si>
  <si>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</si>
  <si>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</si>
  <si>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</si>
  <si>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</si>
  <si>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</si>
  <si>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</si>
  <si>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</si>
  <si>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</si>
  <si>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</si>
  <si>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</si>
  <si>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</si>
  <si>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</si>
  <si>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</si>
  <si>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</si>
  <si>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</si>
  <si>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</si>
  <si>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</si>
  <si>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</si>
  <si>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</si>
  <si>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</si>
  <si>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</si>
  <si>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</si>
  <si>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</si>
  <si>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</si>
  <si>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</si>
  <si>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</si>
  <si>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</si>
  <si>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</si>
  <si>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</si>
  <si>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</si>
  <si>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</si>
  <si>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</si>
  <si>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</si>
  <si>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</si>
  <si>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</si>
  <si>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</si>
  <si>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</si>
  <si>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</si>
  <si>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</si>
  <si>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</si>
  <si>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</si>
  <si>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</si>
  <si>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</si>
  <si>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</si>
  <si>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</si>
  <si>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</si>
  <si>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</si>
  <si>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</si>
  <si>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</si>
  <si>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</si>
  <si>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</si>
  <si>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</si>
  <si>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</si>
  <si>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</si>
  <si>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</si>
  <si>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</si>
  <si>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</si>
  <si>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</si>
  <si>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</si>
  <si>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</si>
  <si>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</si>
  <si>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</si>
  <si>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</si>
  <si>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</si>
  <si>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</si>
  <si>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</si>
  <si>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</si>
  <si>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</si>
  <si>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</si>
  <si>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</si>
  <si>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</si>
  <si>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</si>
  <si>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</si>
  <si>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</si>
  <si>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</si>
  <si>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</si>
  <si>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</si>
  <si>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</si>
  <si>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</si>
  <si>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</si>
  <si>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</si>
  <si>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</si>
  <si>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</si>
  <si>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</si>
  <si>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</si>
  <si>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</si>
  <si>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</si>
  <si>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</si>
  <si>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</si>
  <si>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</si>
  <si>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</si>
  <si>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</si>
  <si>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</si>
  <si>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</si>
  <si>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</si>
  <si>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</si>
  <si>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</si>
  <si>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</si>
  <si>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</si>
  <si>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</si>
  <si>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</si>
  <si>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</si>
  <si>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</si>
  <si>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</si>
  <si>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</si>
  <si>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</si>
  <si>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</si>
  <si>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</si>
  <si>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</si>
  <si>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</si>
  <si>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</si>
  <si>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</si>
  <si>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</si>
  <si>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</si>
  <si>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</si>
  <si>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</si>
  <si>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</si>
  <si>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</si>
  <si>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</si>
  <si>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</si>
  <si>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</si>
  <si>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</si>
  <si>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</si>
  <si>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</si>
  <si>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</si>
  <si>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</si>
  <si>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</si>
  <si>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</si>
  <si>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</si>
  <si>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</si>
  <si>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</si>
  <si>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</si>
  <si>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</si>
  <si>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</si>
  <si>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</si>
  <si>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</si>
  <si>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</si>
  <si>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</si>
  <si>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</si>
  <si>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</si>
  <si>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</si>
  <si>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</si>
  <si>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</si>
  <si>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</si>
  <si>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</si>
  <si>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</si>
  <si>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</si>
  <si>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</si>
  <si>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</si>
  <si>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</si>
  <si>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</si>
  <si>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</si>
  <si>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</si>
  <si>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</si>
  <si>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</si>
  <si>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</si>
  <si>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</si>
  <si>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</si>
  <si>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</si>
  <si>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</si>
  <si>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</si>
  <si>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</si>
  <si>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</si>
  <si>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</si>
  <si>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</si>
  <si>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</si>
  <si>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</si>
  <si>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</si>
  <si>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</si>
  <si>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</si>
  <si>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</si>
  <si>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</si>
  <si>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</si>
  <si>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</si>
  <si>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</si>
  <si>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</si>
  <si>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</si>
  <si>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</si>
  <si>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</si>
  <si>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</si>
  <si>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</si>
  <si>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</si>
  <si>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</si>
  <si>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</si>
  <si>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</si>
  <si>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</si>
  <si>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</si>
  <si>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</si>
  <si>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</si>
  <si>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</si>
  <si>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</si>
  <si>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</si>
  <si>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</si>
  <si>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</si>
  <si>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</si>
  <si>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</si>
  <si>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</si>
  <si>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</si>
  <si>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</si>
  <si>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</si>
  <si>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</si>
  <si>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</si>
  <si>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</si>
  <si>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</si>
  <si>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</si>
  <si>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</si>
  <si>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 xml:space="preserve">НВУ "ВАСИЛ ЛЕВСКИ" ГР. ВЕЛИКО ТЪРНОВО </t>
  </si>
  <si>
    <t>подполковник Илия Христов</t>
  </si>
  <si>
    <t>бригаден генерал Иван Маламов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</si>
</sst>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27" borderId="2" applyNumberFormat="0" applyAlignment="0" applyProtection="0"/>
    <xf numFmtId="0" fontId="135" fillId="28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29" borderId="6" applyNumberFormat="0" applyAlignment="0" applyProtection="0"/>
    <xf numFmtId="0" fontId="141" fillId="29" borderId="2" applyNumberFormat="0" applyAlignment="0" applyProtection="0"/>
    <xf numFmtId="0" fontId="142" fillId="30" borderId="7" applyNumberFormat="0" applyAlignment="0" applyProtection="0"/>
    <xf numFmtId="0" fontId="143" fillId="31" borderId="0" applyNumberFormat="0" applyBorder="0" applyAlignment="0" applyProtection="0"/>
    <xf numFmtId="0" fontId="144" fillId="32" borderId="0" applyNumberFormat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8" fillId="0" borderId="8" applyNumberFormat="0" applyFill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1" fillId="26" borderId="0" xfId="38" applyFont="1" applyFill="1" applyAlignment="1" applyProtection="1">
      <alignment horizontal="right"/>
      <protection/>
    </xf>
    <xf numFmtId="0" fontId="152" fillId="26" borderId="0" xfId="38" applyFont="1" applyFill="1" applyBorder="1" applyAlignment="1" applyProtection="1">
      <alignment horizontal="center"/>
      <protection/>
    </xf>
    <xf numFmtId="174" fontId="153" fillId="26" borderId="0" xfId="41" applyNumberFormat="1" applyFont="1" applyFill="1" applyAlignment="1" applyProtection="1">
      <alignment/>
      <protection/>
    </xf>
    <xf numFmtId="0" fontId="151" fillId="26" borderId="0" xfId="33" applyFont="1" applyFill="1" applyAlignment="1" applyProtection="1" quotePrefix="1">
      <alignment/>
      <protection/>
    </xf>
    <xf numFmtId="0" fontId="153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3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5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3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6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54" xfId="41" applyNumberFormat="1" applyFont="1" applyFill="1" applyBorder="1" applyAlignment="1" applyProtection="1">
      <alignment/>
      <protection/>
    </xf>
    <xf numFmtId="38" fontId="23" fillId="43" borderId="47" xfId="41" applyNumberFormat="1" applyFont="1" applyFill="1" applyBorder="1" applyAlignment="1" applyProtection="1">
      <alignment/>
      <protection/>
    </xf>
    <xf numFmtId="38" fontId="23" fillId="43" borderId="48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3" fillId="43" borderId="43" xfId="41" applyNumberFormat="1" applyFont="1" applyFill="1" applyBorder="1" applyAlignment="1" applyProtection="1">
      <alignment/>
      <protection/>
    </xf>
    <xf numFmtId="38" fontId="23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59" fillId="33" borderId="27" xfId="0" applyNumberFormat="1" applyFont="1" applyFill="1" applyBorder="1" applyAlignment="1" applyProtection="1">
      <alignment horizontal="center"/>
      <protection locked="0"/>
    </xf>
    <xf numFmtId="183" fontId="159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9" xfId="41" applyNumberFormat="1" applyFont="1" applyFill="1" applyBorder="1" applyAlignment="1" applyProtection="1">
      <alignment/>
      <protection/>
    </xf>
    <xf numFmtId="38" fontId="23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0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3" fillId="43" borderId="42" xfId="41" applyNumberFormat="1" applyFont="1" applyFill="1" applyBorder="1" applyAlignment="1" applyProtection="1">
      <alignment horizontal="center"/>
      <protection/>
    </xf>
    <xf numFmtId="38" fontId="23" fillId="43" borderId="43" xfId="41" applyNumberFormat="1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2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3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6" fillId="39" borderId="102" xfId="0" applyNumberFormat="1" applyFont="1" applyFill="1" applyBorder="1" applyAlignment="1" applyProtection="1" quotePrefix="1">
      <alignment horizontal="center"/>
      <protection/>
    </xf>
    <xf numFmtId="191" fontId="162" fillId="41" borderId="102" xfId="0" applyNumberFormat="1" applyFont="1" applyFill="1" applyBorder="1" applyAlignment="1" applyProtection="1" quotePrefix="1">
      <alignment horizontal="center"/>
      <protection/>
    </xf>
    <xf numFmtId="191" fontId="163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24" fillId="38" borderId="105" xfId="0" applyNumberFormat="1" applyFont="1" applyFill="1" applyBorder="1" applyAlignment="1" applyProtection="1">
      <alignment horizontal="center"/>
      <protection/>
    </xf>
    <xf numFmtId="182" fontId="164" fillId="38" borderId="104" xfId="0" applyNumberFormat="1" applyFont="1" applyFill="1" applyBorder="1" applyAlignment="1" applyProtection="1">
      <alignment horizontal="center"/>
      <protection/>
    </xf>
    <xf numFmtId="182" fontId="164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5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6" fillId="48" borderId="0" xfId="37" applyFont="1" applyFill="1" applyBorder="1" applyAlignment="1" applyProtection="1">
      <alignment horizontal="center"/>
      <protection/>
    </xf>
    <xf numFmtId="174" fontId="165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7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7" fillId="35" borderId="0" xfId="40" applyFont="1" applyFill="1" applyBorder="1" applyAlignment="1" applyProtection="1">
      <alignment/>
      <protection/>
    </xf>
    <xf numFmtId="0" fontId="166" fillId="33" borderId="0" xfId="37" applyFont="1" applyFill="1" applyBorder="1" applyAlignment="1" applyProtection="1">
      <alignment horizontal="center"/>
      <protection/>
    </xf>
    <xf numFmtId="172" fontId="57" fillId="50" borderId="27" xfId="40" applyNumberFormat="1" applyFont="1" applyFill="1" applyBorder="1" applyAlignment="1" applyProtection="1">
      <alignment horizontal="center" vertical="center"/>
      <protection locked="0"/>
    </xf>
    <xf numFmtId="174" fontId="151" fillId="26" borderId="0" xfId="41" applyNumberFormat="1" applyFont="1" applyFill="1" applyAlignment="1" applyProtection="1">
      <alignment/>
      <protection/>
    </xf>
    <xf numFmtId="0" fontId="153" fillId="35" borderId="0" xfId="40" applyFont="1" applyFill="1" applyBorder="1" applyProtection="1">
      <alignment/>
      <protection/>
    </xf>
    <xf numFmtId="0" fontId="168" fillId="35" borderId="0" xfId="40" applyFont="1" applyFill="1" applyBorder="1" applyProtection="1">
      <alignment/>
      <protection/>
    </xf>
    <xf numFmtId="0" fontId="168" fillId="35" borderId="0" xfId="40" applyFont="1" applyFill="1" applyProtection="1">
      <alignment/>
      <protection/>
    </xf>
    <xf numFmtId="180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0" fillId="33" borderId="27" xfId="40" applyNumberFormat="1" applyFont="1" applyFill="1" applyBorder="1" applyAlignment="1" applyProtection="1">
      <alignment horizontal="center" vertical="center"/>
      <protection/>
    </xf>
    <xf numFmtId="172" fontId="171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7" fillId="33" borderId="60" xfId="41" applyNumberFormat="1" applyFont="1" applyFill="1" applyBorder="1" applyAlignment="1" applyProtection="1">
      <alignment/>
      <protection/>
    </xf>
    <xf numFmtId="38" fontId="17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3" fillId="33" borderId="71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6" xfId="0" applyNumberFormat="1" applyFont="1" applyFill="1" applyBorder="1" applyAlignment="1" applyProtection="1" quotePrefix="1">
      <alignment/>
      <protection/>
    </xf>
    <xf numFmtId="174" fontId="172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6" xfId="0" applyNumberFormat="1" applyFont="1" applyFill="1" applyBorder="1" applyAlignment="1" applyProtection="1" quotePrefix="1">
      <alignment/>
      <protection/>
    </xf>
    <xf numFmtId="174" fontId="173" fillId="26" borderId="32" xfId="0" applyNumberFormat="1" applyFont="1" applyFill="1" applyBorder="1" applyAlignment="1" applyProtection="1" quotePrefix="1">
      <alignment/>
      <protection/>
    </xf>
    <xf numFmtId="174" fontId="172" fillId="33" borderId="86" xfId="0" applyNumberFormat="1" applyFont="1" applyFill="1" applyBorder="1" applyAlignment="1" applyProtection="1" quotePrefix="1">
      <alignment/>
      <protection/>
    </xf>
    <xf numFmtId="174" fontId="173" fillId="33" borderId="87" xfId="0" applyNumberFormat="1" applyFont="1" applyFill="1" applyBorder="1" applyAlignment="1" applyProtection="1" quotePrefix="1">
      <alignment/>
      <protection/>
    </xf>
    <xf numFmtId="174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40" applyFont="1" applyFill="1" applyBorder="1" applyProtection="1">
      <alignment/>
      <protection/>
    </xf>
    <xf numFmtId="0" fontId="33" fillId="33" borderId="43" xfId="40" applyFont="1" applyFill="1" applyBorder="1" applyProtection="1">
      <alignment/>
      <protection/>
    </xf>
    <xf numFmtId="0" fontId="33" fillId="33" borderId="29" xfId="40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4" fillId="51" borderId="118" xfId="0" applyNumberFormat="1" applyFont="1" applyFill="1" applyBorder="1" applyAlignment="1" applyProtection="1">
      <alignment horizontal="center"/>
      <protection/>
    </xf>
    <xf numFmtId="182" fontId="175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178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24" fillId="38" borderId="120" xfId="0" applyNumberFormat="1" applyFont="1" applyFill="1" applyBorder="1" applyAlignment="1" applyProtection="1">
      <alignment horizontal="center"/>
      <protection/>
    </xf>
    <xf numFmtId="182" fontId="164" fillId="38" borderId="119" xfId="0" applyNumberFormat="1" applyFont="1" applyFill="1" applyBorder="1" applyAlignment="1" applyProtection="1">
      <alignment horizontal="center"/>
      <protection/>
    </xf>
    <xf numFmtId="182" fontId="164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2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79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5" fillId="26" borderId="0" xfId="0" applyNumberFormat="1" applyFont="1" applyFill="1" applyBorder="1" applyAlignment="1" applyProtection="1" quotePrefix="1">
      <alignment horizontal="center"/>
      <protection/>
    </xf>
    <xf numFmtId="174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3" fillId="38" borderId="0" xfId="33" applyFont="1" applyFill="1" applyBorder="1" quotePrefix="1">
      <alignment/>
      <protection/>
    </xf>
    <xf numFmtId="195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97" fontId="23" fillId="26" borderId="69" xfId="34" applyNumberFormat="1" applyFont="1" applyFill="1" applyBorder="1" applyAlignment="1">
      <alignment/>
      <protection/>
    </xf>
    <xf numFmtId="197" fontId="23" fillId="26" borderId="18" xfId="34" applyNumberFormat="1" applyFont="1" applyFill="1" applyBorder="1" applyAlignment="1">
      <alignment/>
      <protection/>
    </xf>
    <xf numFmtId="197" fontId="23" fillId="26" borderId="21" xfId="34" applyNumberFormat="1" applyFont="1" applyFill="1" applyBorder="1" applyAlignment="1">
      <alignment/>
      <protection/>
    </xf>
    <xf numFmtId="197" fontId="23" fillId="45" borderId="69" xfId="34" applyNumberFormat="1" applyFont="1" applyFill="1" applyBorder="1" applyAlignment="1">
      <alignment/>
      <protection/>
    </xf>
    <xf numFmtId="197" fontId="23" fillId="45" borderId="18" xfId="34" applyNumberFormat="1" applyFont="1" applyFill="1" applyBorder="1" applyAlignment="1">
      <alignment/>
      <protection/>
    </xf>
    <xf numFmtId="197" fontId="23" fillId="45" borderId="21" xfId="34" applyNumberFormat="1" applyFont="1" applyFill="1" applyBorder="1" applyAlignment="1">
      <alignment/>
      <protection/>
    </xf>
    <xf numFmtId="201" fontId="23" fillId="33" borderId="0" xfId="33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80" fontId="181" fillId="39" borderId="27" xfId="0" applyNumberFormat="1" applyFont="1" applyFill="1" applyBorder="1" applyAlignment="1" applyProtection="1">
      <alignment horizontal="center"/>
      <protection/>
    </xf>
    <xf numFmtId="191" fontId="156" fillId="39" borderId="27" xfId="0" applyNumberFormat="1" applyFont="1" applyFill="1" applyBorder="1" applyAlignment="1" applyProtection="1" quotePrefix="1">
      <alignment horizontal="center"/>
      <protection/>
    </xf>
    <xf numFmtId="179" fontId="157" fillId="41" borderId="27" xfId="0" applyNumberFormat="1" applyFont="1" applyFill="1" applyBorder="1" applyAlignment="1" applyProtection="1" quotePrefix="1">
      <alignment horizontal="center"/>
      <protection/>
    </xf>
    <xf numFmtId="191" fontId="162" fillId="41" borderId="27" xfId="0" applyNumberFormat="1" applyFont="1" applyFill="1" applyBorder="1" applyAlignment="1" applyProtection="1" quotePrefix="1">
      <alignment horizontal="center"/>
      <protection/>
    </xf>
    <xf numFmtId="179" fontId="162" fillId="41" borderId="27" xfId="0" applyNumberFormat="1" applyFont="1" applyFill="1" applyBorder="1" applyAlignment="1" applyProtection="1" quotePrefix="1">
      <alignment horizontal="center"/>
      <protection/>
    </xf>
    <xf numFmtId="179" fontId="169" fillId="49" borderId="27" xfId="0" applyNumberFormat="1" applyFont="1" applyFill="1" applyBorder="1" applyAlignment="1" applyProtection="1" quotePrefix="1">
      <alignment horizontal="center"/>
      <protection/>
    </xf>
    <xf numFmtId="191" fontId="163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24" fillId="38" borderId="119" xfId="0" applyNumberFormat="1" applyFont="1" applyFill="1" applyBorder="1" applyAlignment="1" applyProtection="1">
      <alignment horizontal="center"/>
      <protection/>
    </xf>
    <xf numFmtId="210" fontId="23" fillId="33" borderId="0" xfId="34" applyNumberFormat="1" applyFont="1" applyFill="1" applyBorder="1" applyAlignment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9" fontId="23" fillId="33" borderId="0" xfId="33" applyNumberFormat="1" applyFont="1" applyFill="1" applyBorder="1" applyAlignment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3" fillId="39" borderId="102" xfId="0" applyNumberFormat="1" applyFont="1" applyFill="1" applyBorder="1" applyAlignment="1" applyProtection="1" quotePrefix="1">
      <alignment horizontal="center"/>
      <protection/>
    </xf>
    <xf numFmtId="211" fontId="157" fillId="41" borderId="102" xfId="0" applyNumberFormat="1" applyFont="1" applyFill="1" applyBorder="1" applyAlignment="1" applyProtection="1" quotePrefix="1">
      <alignment horizontal="center"/>
      <protection/>
    </xf>
    <xf numFmtId="211" fontId="169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4" fillId="26" borderId="45" xfId="0" applyNumberFormat="1" applyFont="1" applyFill="1" applyBorder="1" applyAlignment="1" applyProtection="1">
      <alignment horizontal="center"/>
      <protection locked="0"/>
    </xf>
    <xf numFmtId="211" fontId="183" fillId="39" borderId="27" xfId="0" applyNumberFormat="1" applyFont="1" applyFill="1" applyBorder="1" applyAlignment="1" applyProtection="1">
      <alignment horizontal="center"/>
      <protection/>
    </xf>
    <xf numFmtId="211" fontId="157" fillId="41" borderId="27" xfId="0" applyNumberFormat="1" applyFont="1" applyFill="1" applyBorder="1" applyAlignment="1" applyProtection="1" quotePrefix="1">
      <alignment horizontal="center"/>
      <protection/>
    </xf>
    <xf numFmtId="211" fontId="169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5" fillId="33" borderId="45" xfId="0" applyNumberFormat="1" applyFont="1" applyFill="1" applyBorder="1" applyAlignment="1" applyProtection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79" fontId="23" fillId="26" borderId="0" xfId="33" applyNumberFormat="1" applyFont="1" applyFill="1" applyBorder="1" applyAlignment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left"/>
      <protection/>
    </xf>
    <xf numFmtId="176" fontId="26" fillId="45" borderId="0" xfId="33" applyNumberFormat="1" applyFont="1" applyFill="1" applyBorder="1" applyAlignment="1">
      <alignment horizontal="center"/>
      <protection/>
    </xf>
    <xf numFmtId="179" fontId="26" fillId="45" borderId="0" xfId="33" applyNumberFormat="1" applyFont="1" applyFill="1" applyBorder="1" applyAlignment="1">
      <alignment horizontal="center"/>
      <protection/>
    </xf>
    <xf numFmtId="176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3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0" fontId="9" fillId="26" borderId="68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6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8" fontId="23" fillId="38" borderId="0" xfId="33" applyNumberFormat="1" applyFont="1" applyFill="1" applyBorder="1" applyAlignment="1">
      <alignment/>
      <protection/>
    </xf>
    <xf numFmtId="210" fontId="23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3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23" fillId="26" borderId="20" xfId="33" applyNumberFormat="1" applyFont="1" applyFill="1" applyBorder="1">
      <alignment/>
      <protection/>
    </xf>
    <xf numFmtId="176" fontId="23" fillId="26" borderId="20" xfId="33" applyNumberFormat="1" applyFont="1" applyFill="1" applyBorder="1" applyAlignment="1">
      <alignment horizontal="left"/>
      <protection/>
    </xf>
    <xf numFmtId="208" fontId="186" fillId="55" borderId="0" xfId="39" applyNumberFormat="1" applyFont="1" applyFill="1" applyBorder="1" applyAlignment="1">
      <alignment horizontal="center"/>
      <protection/>
    </xf>
    <xf numFmtId="0" fontId="187" fillId="55" borderId="0" xfId="39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210" fontId="23" fillId="33" borderId="0" xfId="34" applyNumberFormat="1" applyFont="1" applyFill="1" applyBorder="1" applyAlignment="1">
      <alignment horizontal="left"/>
      <protection/>
    </xf>
    <xf numFmtId="179" fontId="23" fillId="26" borderId="0" xfId="33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176" fontId="23" fillId="26" borderId="0" xfId="33" applyNumberFormat="1" applyFont="1" applyFill="1" applyBorder="1" applyAlignment="1">
      <alignment horizontal="center"/>
      <protection/>
    </xf>
    <xf numFmtId="178" fontId="23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3" fillId="38" borderId="0" xfId="33" applyNumberFormat="1" applyFont="1" applyFill="1" applyBorder="1" applyAlignment="1">
      <alignment horizontal="center"/>
      <protection/>
    </xf>
    <xf numFmtId="195" fontId="23" fillId="33" borderId="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23" fillId="33" borderId="0" xfId="33" applyNumberFormat="1" applyFont="1" applyFill="1" applyBorder="1" applyAlignment="1">
      <alignment horizontal="center"/>
      <protection/>
    </xf>
    <xf numFmtId="177" fontId="23" fillId="45" borderId="0" xfId="33" applyNumberFormat="1" applyFont="1" applyFill="1" applyBorder="1" applyAlignment="1">
      <alignment horizontal="center"/>
      <protection/>
    </xf>
    <xf numFmtId="178" fontId="23" fillId="38" borderId="0" xfId="33" applyNumberFormat="1" applyFont="1" applyFill="1" applyBorder="1" applyAlignment="1">
      <alignment horizontal="left"/>
      <protection/>
    </xf>
    <xf numFmtId="199" fontId="58" fillId="45" borderId="20" xfId="34" applyNumberFormat="1" applyFont="1" applyFill="1" applyBorder="1" applyAlignment="1">
      <alignment horizontal="center"/>
      <protection/>
    </xf>
    <xf numFmtId="197" fontId="58" fillId="26" borderId="19" xfId="34" applyNumberFormat="1" applyFont="1" applyFill="1" applyBorder="1" applyAlignment="1">
      <alignment horizontal="center"/>
      <protection/>
    </xf>
    <xf numFmtId="198" fontId="58" fillId="26" borderId="0" xfId="34" applyNumberFormat="1" applyFont="1" applyFill="1" applyBorder="1" applyAlignment="1">
      <alignment horizontal="center"/>
      <protection/>
    </xf>
    <xf numFmtId="195" fontId="23" fillId="26" borderId="0" xfId="34" applyNumberFormat="1" applyFont="1" applyFill="1" applyBorder="1" applyAlignment="1">
      <alignment horizontal="center"/>
      <protection/>
    </xf>
    <xf numFmtId="179" fontId="23" fillId="45" borderId="0" xfId="33" applyNumberFormat="1" applyFont="1" applyFill="1" applyBorder="1" applyAlignment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97" fontId="58" fillId="45" borderId="19" xfId="34" applyNumberFormat="1" applyFont="1" applyFill="1" applyBorder="1" applyAlignment="1">
      <alignment horizontal="center"/>
      <protection/>
    </xf>
    <xf numFmtId="199" fontId="58" fillId="26" borderId="20" xfId="34" applyNumberFormat="1" applyFont="1" applyFill="1" applyBorder="1" applyAlignment="1">
      <alignment horizontal="center"/>
      <protection/>
    </xf>
    <xf numFmtId="195" fontId="23" fillId="45" borderId="0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03" fontId="58" fillId="45" borderId="0" xfId="34" applyNumberFormat="1" applyFont="1" applyFill="1" applyBorder="1" applyAlignment="1">
      <alignment horizontal="center"/>
      <protection/>
    </xf>
    <xf numFmtId="204" fontId="58" fillId="45" borderId="20" xfId="34" applyNumberFormat="1" applyFont="1" applyFill="1" applyBorder="1" applyAlignment="1">
      <alignment horizontal="center"/>
      <protection/>
    </xf>
    <xf numFmtId="202" fontId="58" fillId="45" borderId="19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10" fontId="23" fillId="33" borderId="0" xfId="34" applyNumberFormat="1" applyFont="1" applyFill="1" applyBorder="1" applyAlignment="1">
      <alignment horizontal="center"/>
      <protection/>
    </xf>
    <xf numFmtId="202" fontId="58" fillId="26" borderId="19" xfId="34" applyNumberFormat="1" applyFont="1" applyFill="1" applyBorder="1" applyAlignment="1">
      <alignment horizontal="center"/>
      <protection/>
    </xf>
    <xf numFmtId="198" fontId="58" fillId="45" borderId="0" xfId="34" applyNumberFormat="1" applyFont="1" applyFill="1" applyBorder="1" applyAlignment="1">
      <alignment horizontal="center"/>
      <protection/>
    </xf>
    <xf numFmtId="203" fontId="58" fillId="26" borderId="0" xfId="34" applyNumberFormat="1" applyFont="1" applyFill="1" applyBorder="1" applyAlignment="1">
      <alignment horizontal="center"/>
      <protection/>
    </xf>
    <xf numFmtId="204" fontId="58" fillId="26" borderId="20" xfId="34" applyNumberFormat="1" applyFont="1" applyFill="1" applyBorder="1" applyAlignment="1">
      <alignment horizontal="center"/>
      <protection/>
    </xf>
    <xf numFmtId="207" fontId="188" fillId="26" borderId="0" xfId="0" applyNumberFormat="1" applyFont="1" applyFill="1" applyAlignment="1" applyProtection="1">
      <alignment horizontal="center"/>
      <protection/>
    </xf>
    <xf numFmtId="207" fontId="188" fillId="54" borderId="0" xfId="0" applyNumberFormat="1" applyFont="1" applyFill="1" applyAlignment="1" applyProtection="1">
      <alignment horizontal="center"/>
      <protection/>
    </xf>
    <xf numFmtId="38" fontId="179" fillId="43" borderId="42" xfId="41" applyNumberFormat="1" applyFont="1" applyFill="1" applyBorder="1" applyAlignment="1" applyProtection="1">
      <alignment horizontal="center"/>
      <protection/>
    </xf>
    <xf numFmtId="38" fontId="179" fillId="43" borderId="43" xfId="41" applyNumberFormat="1" applyFont="1" applyFill="1" applyBorder="1" applyAlignment="1" applyProtection="1">
      <alignment horizontal="center"/>
      <protection/>
    </xf>
    <xf numFmtId="38" fontId="179" fillId="43" borderId="44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 locked="0"/>
    </xf>
    <xf numFmtId="186" fontId="189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47" fillId="33" borderId="62" xfId="41" applyNumberFormat="1" applyFont="1" applyFill="1" applyBorder="1" applyAlignment="1" applyProtection="1">
      <alignment horizontal="center"/>
      <protection/>
    </xf>
    <xf numFmtId="38" fontId="47" fillId="33" borderId="45" xfId="41" applyNumberFormat="1" applyFont="1" applyFill="1" applyBorder="1" applyAlignment="1" applyProtection="1">
      <alignment horizontal="center"/>
      <protection/>
    </xf>
    <xf numFmtId="38" fontId="47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0" fillId="46" borderId="65" xfId="41" applyNumberFormat="1" applyFont="1" applyFill="1" applyBorder="1" applyAlignment="1" applyProtection="1">
      <alignment horizontal="center"/>
      <protection/>
    </xf>
    <xf numFmtId="38" fontId="160" fillId="46" borderId="20" xfId="41" applyNumberFormat="1" applyFont="1" applyFill="1" applyBorder="1" applyAlignment="1" applyProtection="1">
      <alignment horizontal="center"/>
      <protection/>
    </xf>
    <xf numFmtId="38" fontId="160" fillId="46" borderId="5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4" xfId="41" applyNumberFormat="1" applyFont="1" applyFill="1" applyBorder="1" applyAlignment="1" applyProtection="1">
      <alignment horizontal="center"/>
      <protection/>
    </xf>
    <xf numFmtId="38" fontId="23" fillId="43" borderId="59" xfId="41" applyNumberFormat="1" applyFont="1" applyFill="1" applyBorder="1" applyAlignment="1" applyProtection="1">
      <alignment horizontal="center"/>
      <protection/>
    </xf>
    <xf numFmtId="38" fontId="23" fillId="43" borderId="47" xfId="41" applyNumberFormat="1" applyFont="1" applyFill="1" applyBorder="1" applyAlignment="1" applyProtection="1">
      <alignment horizontal="center"/>
      <protection/>
    </xf>
    <xf numFmtId="38" fontId="23" fillId="43" borderId="48" xfId="41" applyNumberFormat="1" applyFont="1" applyFill="1" applyBorder="1" applyAlignment="1" applyProtection="1">
      <alignment horizontal="center"/>
      <protection/>
    </xf>
    <xf numFmtId="38" fontId="23" fillId="43" borderId="60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54" borderId="42" xfId="41" applyNumberFormat="1" applyFont="1" applyFill="1" applyBorder="1" applyAlignment="1" applyProtection="1">
      <alignment horizontal="center"/>
      <protection/>
    </xf>
    <xf numFmtId="38" fontId="23" fillId="54" borderId="43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0" fontId="190" fillId="33" borderId="61" xfId="37" applyFont="1" applyFill="1" applyBorder="1" applyAlignment="1" applyProtection="1">
      <alignment horizontal="center"/>
      <protection/>
    </xf>
    <xf numFmtId="0" fontId="190" fillId="33" borderId="0" xfId="37" applyFont="1" applyFill="1" applyBorder="1" applyAlignment="1" applyProtection="1">
      <alignment horizontal="center"/>
      <protection/>
    </xf>
    <xf numFmtId="0" fontId="190" fillId="33" borderId="30" xfId="37" applyFont="1" applyFill="1" applyBorder="1" applyAlignment="1" applyProtection="1">
      <alignment horizontal="center"/>
      <protection/>
    </xf>
    <xf numFmtId="0" fontId="166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85" fontId="191" fillId="26" borderId="0" xfId="36" applyNumberFormat="1" applyFont="1" applyFill="1" applyBorder="1" applyAlignment="1" applyProtection="1">
      <alignment horizontal="center"/>
      <protection/>
    </xf>
    <xf numFmtId="0" fontId="151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187" fontId="151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1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0" fillId="36" borderId="28" xfId="71" applyFill="1" applyBorder="1" applyAlignment="1" applyProtection="1">
      <alignment horizontal="center" vertical="center"/>
      <protection locked="0"/>
    </xf>
    <xf numFmtId="0" fontId="192" fillId="36" borderId="43" xfId="71" applyFont="1" applyFill="1" applyBorder="1" applyAlignment="1" applyProtection="1">
      <alignment horizontal="center" vertical="center"/>
      <protection locked="0"/>
    </xf>
    <xf numFmtId="0" fontId="192" fillId="36" borderId="29" xfId="71" applyFont="1" applyFill="1" applyBorder="1" applyAlignment="1" applyProtection="1">
      <alignment horizontal="center" vertical="center"/>
      <protection locked="0"/>
    </xf>
    <xf numFmtId="38" fontId="150" fillId="33" borderId="28" xfId="71" applyNumberFormat="1" applyFill="1" applyBorder="1" applyAlignment="1" applyProtection="1">
      <alignment horizontal="center" vertical="center"/>
      <protection locked="0"/>
    </xf>
    <xf numFmtId="38" fontId="193" fillId="33" borderId="43" xfId="71" applyNumberFormat="1" applyFont="1" applyFill="1" applyBorder="1" applyAlignment="1" applyProtection="1">
      <alignment horizontal="center" vertical="center"/>
      <protection locked="0"/>
    </xf>
    <xf numFmtId="38" fontId="193" fillId="33" borderId="29" xfId="71" applyNumberFormat="1" applyFont="1" applyFill="1" applyBorder="1" applyAlignment="1" applyProtection="1">
      <alignment horizontal="center" vertical="center"/>
      <protection locked="0"/>
    </xf>
    <xf numFmtId="0" fontId="194" fillId="26" borderId="0" xfId="36" applyFont="1" applyFill="1" applyBorder="1" applyAlignment="1" applyProtection="1">
      <alignment horizontal="center"/>
      <protection/>
    </xf>
    <xf numFmtId="185" fontId="157" fillId="33" borderId="28" xfId="36" applyNumberFormat="1" applyFont="1" applyFill="1" applyBorder="1" applyAlignment="1" applyProtection="1">
      <alignment horizontal="center"/>
      <protection/>
    </xf>
    <xf numFmtId="185" fontId="157" fillId="33" borderId="43" xfId="36" applyNumberFormat="1" applyFont="1" applyFill="1" applyBorder="1" applyAlignment="1" applyProtection="1">
      <alignment horizontal="center"/>
      <protection/>
    </xf>
    <xf numFmtId="185" fontId="157" fillId="33" borderId="29" xfId="36" applyNumberFormat="1" applyFont="1" applyFill="1" applyBorder="1" applyAlignment="1" applyProtection="1">
      <alignment horizontal="center"/>
      <protection/>
    </xf>
    <xf numFmtId="0" fontId="55" fillId="50" borderId="133" xfId="40" applyFont="1" applyFill="1" applyBorder="1" applyAlignment="1" applyProtection="1" quotePrefix="1">
      <alignment horizontal="center" wrapText="1"/>
      <protection locked="0"/>
    </xf>
    <xf numFmtId="0" fontId="55" fillId="50" borderId="53" xfId="40" applyFont="1" applyFill="1" applyBorder="1" applyAlignment="1" applyProtection="1">
      <alignment horizontal="center" wrapText="1"/>
      <protection locked="0"/>
    </xf>
    <xf numFmtId="0" fontId="55" fillId="50" borderId="134" xfId="40" applyFont="1" applyFill="1" applyBorder="1" applyAlignment="1" applyProtection="1">
      <alignment horizontal="center" wrapText="1"/>
      <protection locked="0"/>
    </xf>
    <xf numFmtId="0" fontId="195" fillId="26" borderId="45" xfId="33" applyFont="1" applyFill="1" applyBorder="1" applyAlignment="1" applyProtection="1" quotePrefix="1">
      <alignment horizontal="center"/>
      <protection/>
    </xf>
    <xf numFmtId="0" fontId="196" fillId="38" borderId="26" xfId="40" applyFont="1" applyFill="1" applyBorder="1" applyAlignment="1" applyProtection="1">
      <alignment horizontal="center" vertical="center" wrapText="1"/>
      <protection locked="0"/>
    </xf>
    <xf numFmtId="0" fontId="196" fillId="38" borderId="20" xfId="40" applyFont="1" applyFill="1" applyBorder="1" applyAlignment="1" applyProtection="1">
      <alignment horizontal="center" vertical="center" wrapText="1"/>
      <protection locked="0"/>
    </xf>
    <xf numFmtId="0" fontId="196" fillId="38" borderId="21" xfId="40" applyFont="1" applyFill="1" applyBorder="1" applyAlignment="1" applyProtection="1">
      <alignment horizontal="center" vertical="center" wrapText="1"/>
      <protection locked="0"/>
    </xf>
    <xf numFmtId="206" fontId="197" fillId="48" borderId="43" xfId="41" applyNumberFormat="1" applyFont="1" applyFill="1" applyBorder="1" applyAlignment="1" applyProtection="1">
      <alignment horizontal="left"/>
      <protection/>
    </xf>
    <xf numFmtId="206" fontId="197" fillId="48" borderId="29" xfId="41" applyNumberFormat="1" applyFont="1" applyFill="1" applyBorder="1" applyAlignment="1" applyProtection="1">
      <alignment horizontal="left"/>
      <protection/>
    </xf>
    <xf numFmtId="0" fontId="186" fillId="55" borderId="0" xfId="33" applyFont="1" applyFill="1" applyAlignment="1" applyProtection="1" quotePrefix="1">
      <alignment horizontal="center"/>
      <protection/>
    </xf>
    <xf numFmtId="209" fontId="186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8" fillId="33" borderId="47" xfId="41" applyNumberFormat="1" applyFont="1" applyFill="1" applyBorder="1" applyAlignment="1" applyProtection="1">
      <alignment horizontal="center"/>
      <protection/>
    </xf>
    <xf numFmtId="38" fontId="198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98" fillId="33" borderId="49" xfId="41" applyNumberFormat="1" applyFont="1" applyFill="1" applyBorder="1" applyAlignment="1" applyProtection="1">
      <alignment horizontal="center"/>
      <protection/>
    </xf>
    <xf numFmtId="38" fontId="198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1" fillId="33" borderId="0" xfId="36" applyNumberFormat="1" applyFont="1" applyFill="1" applyBorder="1" applyAlignment="1" applyProtection="1">
      <alignment horizontal="center"/>
      <protection/>
    </xf>
    <xf numFmtId="0" fontId="195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0" fillId="33" borderId="116" xfId="37" applyFont="1" applyFill="1" applyBorder="1" applyAlignment="1" applyProtection="1">
      <alignment horizontal="center"/>
      <protection/>
    </xf>
    <xf numFmtId="0" fontId="190" fillId="33" borderId="135" xfId="37" applyFont="1" applyFill="1" applyBorder="1" applyAlignment="1" applyProtection="1">
      <alignment horizontal="center"/>
      <protection/>
    </xf>
    <xf numFmtId="208" fontId="199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/>
    </xf>
    <xf numFmtId="186" fontId="189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8" fillId="33" borderId="26" xfId="40" applyFont="1" applyFill="1" applyBorder="1" applyAlignment="1" applyProtection="1">
      <alignment horizontal="center" vertical="center" wrapText="1"/>
      <protection/>
    </xf>
    <xf numFmtId="0" fontId="58" fillId="33" borderId="20" xfId="40" applyFont="1" applyFill="1" applyBorder="1" applyAlignment="1" applyProtection="1">
      <alignment horizontal="center" vertical="center" wrapText="1"/>
      <protection/>
    </xf>
    <xf numFmtId="0" fontId="58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0" fillId="36" borderId="28" xfId="71" applyFont="1" applyFill="1" applyBorder="1" applyAlignment="1" applyProtection="1">
      <alignment horizontal="center" vertical="center"/>
      <protection/>
    </xf>
    <xf numFmtId="0" fontId="200" fillId="36" borderId="43" xfId="71" applyFont="1" applyFill="1" applyBorder="1" applyAlignment="1" applyProtection="1">
      <alignment horizontal="center" vertical="center"/>
      <protection/>
    </xf>
    <xf numFmtId="0" fontId="200" fillId="36" borderId="29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5.7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5.7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view="pageBreakPreview" zoomScale="6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34" sqref="O13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129009094</v>
      </c>
      <c r="J1" s="754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НВУ "ВАСИЛ ЛЕВСКИ" ГР. ВЕЛИКО ТЪРНОВО 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346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31.03.2023 г.</v>
      </c>
      <c r="G11" s="396">
        <f>+P5-1</f>
        <v>2022</v>
      </c>
      <c r="H11" s="15"/>
      <c r="I11" s="589" t="str">
        <f>+O8</f>
        <v>31.03.2023 г.</v>
      </c>
      <c r="J11" s="397">
        <f>+P5-1</f>
        <v>2022</v>
      </c>
      <c r="K11" s="16"/>
      <c r="L11" s="590" t="str">
        <f>+O8</f>
        <v>31.03.2023 г.</v>
      </c>
      <c r="M11" s="398">
        <f>+P5-1</f>
        <v>2022</v>
      </c>
      <c r="N11" s="16"/>
      <c r="O11" s="591" t="str">
        <f>+O8</f>
        <v>31.03.2023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37</v>
      </c>
      <c r="G18" s="229">
        <v>1743</v>
      </c>
      <c r="H18" s="15"/>
      <c r="I18" s="230"/>
      <c r="J18" s="229"/>
      <c r="K18" s="227"/>
      <c r="L18" s="230"/>
      <c r="M18" s="229"/>
      <c r="N18" s="227"/>
      <c r="O18" s="365">
        <f t="shared" si="0"/>
        <v>37</v>
      </c>
      <c r="P18" s="378">
        <f t="shared" si="0"/>
        <v>1743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302817</v>
      </c>
      <c r="G19" s="231">
        <v>804567</v>
      </c>
      <c r="H19" s="15"/>
      <c r="I19" s="232"/>
      <c r="J19" s="231"/>
      <c r="K19" s="227"/>
      <c r="L19" s="232"/>
      <c r="M19" s="231"/>
      <c r="N19" s="227"/>
      <c r="O19" s="360">
        <f t="shared" si="0"/>
        <v>302817</v>
      </c>
      <c r="P19" s="412">
        <f t="shared" si="0"/>
        <v>804567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20983</v>
      </c>
      <c r="G20" s="231">
        <v>95134</v>
      </c>
      <c r="H20" s="15"/>
      <c r="I20" s="232"/>
      <c r="J20" s="231"/>
      <c r="K20" s="227"/>
      <c r="L20" s="232"/>
      <c r="M20" s="231"/>
      <c r="N20" s="227"/>
      <c r="O20" s="360">
        <f t="shared" si="0"/>
        <v>20983</v>
      </c>
      <c r="P20" s="412">
        <f t="shared" si="0"/>
        <v>95134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-1</v>
      </c>
      <c r="G24" s="233">
        <v>44753</v>
      </c>
      <c r="H24" s="15"/>
      <c r="I24" s="234">
        <v>-621</v>
      </c>
      <c r="J24" s="233">
        <v>-1495</v>
      </c>
      <c r="K24" s="227"/>
      <c r="L24" s="234"/>
      <c r="M24" s="233"/>
      <c r="N24" s="227"/>
      <c r="O24" s="361">
        <f t="shared" si="0"/>
        <v>-622</v>
      </c>
      <c r="P24" s="384">
        <f t="shared" si="0"/>
        <v>43258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323836</v>
      </c>
      <c r="G25" s="235">
        <f>+ROUND(+SUM(G15,G16,G18,G19,G20,G21,G22,G23,G24),0)</f>
        <v>946197</v>
      </c>
      <c r="H25" s="15"/>
      <c r="I25" s="236">
        <f>+ROUND(+SUM(I15,I16,I18,I19,I20,I21,I22,I23,I24),0)</f>
        <v>-621</v>
      </c>
      <c r="J25" s="235">
        <f>+ROUND(+SUM(J15,J16,J18,J19,J20,J21,J22,J23,J24),0)</f>
        <v>-1495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323215</v>
      </c>
      <c r="P25" s="363">
        <f>+ROUND(+SUM(P15,P16,P18,P19,P20,P21,P22,P23,P24),0)</f>
        <v>944702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19705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19705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19705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19705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-27202</v>
      </c>
      <c r="G37" s="247">
        <v>-96077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-27202</v>
      </c>
      <c r="P37" s="363">
        <f t="shared" si="2"/>
        <v>-96077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-19302</v>
      </c>
      <c r="G38" s="249">
        <v>-86260</v>
      </c>
      <c r="H38" s="15"/>
      <c r="I38" s="250"/>
      <c r="J38" s="249"/>
      <c r="K38" s="227"/>
      <c r="L38" s="250"/>
      <c r="M38" s="249"/>
      <c r="N38" s="227"/>
      <c r="O38" s="375">
        <f t="shared" si="2"/>
        <v>-19302</v>
      </c>
      <c r="P38" s="413">
        <f t="shared" si="2"/>
        <v>-86260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-7900</v>
      </c>
      <c r="G39" s="251">
        <v>-9817</v>
      </c>
      <c r="H39" s="15"/>
      <c r="I39" s="252"/>
      <c r="J39" s="251"/>
      <c r="K39" s="227"/>
      <c r="L39" s="252"/>
      <c r="M39" s="251"/>
      <c r="N39" s="227"/>
      <c r="O39" s="376">
        <f t="shared" si="2"/>
        <v>-7900</v>
      </c>
      <c r="P39" s="414">
        <f t="shared" si="2"/>
        <v>-9817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1002</v>
      </c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1002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>
        <v>32340</v>
      </c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32340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>
        <v>2000</v>
      </c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2000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2000</v>
      </c>
      <c r="H48" s="15"/>
      <c r="I48" s="236">
        <f>+ROUND(+SUM(I44:I47),0)</f>
        <v>0</v>
      </c>
      <c r="J48" s="235">
        <f>+ROUND(+SUM(J44:J47),0)</f>
        <v>32340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34340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297636</v>
      </c>
      <c r="G50" s="257">
        <f>+ROUND(G25+G30+G37+G42+G48,0)</f>
        <v>871825</v>
      </c>
      <c r="H50" s="15"/>
      <c r="I50" s="258">
        <f>+ROUND(I25+I30+I37+I42+I48,0)</f>
        <v>-621</v>
      </c>
      <c r="J50" s="257">
        <f>+ROUND(J25+J30+J37+J42+J48,0)</f>
        <v>30845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297015</v>
      </c>
      <c r="P50" s="380">
        <f>+ROUND(P25+P30+P37+P42+P48,0)</f>
        <v>902670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1494228</v>
      </c>
      <c r="G53" s="259">
        <v>7528750</v>
      </c>
      <c r="H53" s="15"/>
      <c r="I53" s="260">
        <v>26877</v>
      </c>
      <c r="J53" s="259">
        <v>116396</v>
      </c>
      <c r="K53" s="227"/>
      <c r="L53" s="260"/>
      <c r="M53" s="259"/>
      <c r="N53" s="227"/>
      <c r="O53" s="366">
        <f aca="true" t="shared" si="4" ref="O53:P57">+ROUND(+F53+I53+L53,0)</f>
        <v>1521105</v>
      </c>
      <c r="P53" s="359">
        <f t="shared" si="4"/>
        <v>7645146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30838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30838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80</v>
      </c>
      <c r="G55" s="233">
        <v>711</v>
      </c>
      <c r="H55" s="15"/>
      <c r="I55" s="234"/>
      <c r="J55" s="233"/>
      <c r="K55" s="227"/>
      <c r="L55" s="234"/>
      <c r="M55" s="233"/>
      <c r="N55" s="227"/>
      <c r="O55" s="361">
        <f t="shared" si="4"/>
        <v>80</v>
      </c>
      <c r="P55" s="384">
        <f t="shared" si="4"/>
        <v>711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4398473</v>
      </c>
      <c r="G56" s="233">
        <v>16580113</v>
      </c>
      <c r="H56" s="15"/>
      <c r="I56" s="234">
        <v>81918</v>
      </c>
      <c r="J56" s="233">
        <v>159669</v>
      </c>
      <c r="K56" s="227"/>
      <c r="L56" s="234"/>
      <c r="M56" s="233"/>
      <c r="N56" s="227"/>
      <c r="O56" s="361">
        <f t="shared" si="4"/>
        <v>4480391</v>
      </c>
      <c r="P56" s="384">
        <f t="shared" si="4"/>
        <v>16739782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1977893</v>
      </c>
      <c r="G57" s="233">
        <v>7465180</v>
      </c>
      <c r="H57" s="15"/>
      <c r="I57" s="234">
        <v>4587</v>
      </c>
      <c r="J57" s="233">
        <v>15417</v>
      </c>
      <c r="K57" s="227"/>
      <c r="L57" s="234"/>
      <c r="M57" s="233"/>
      <c r="N57" s="227"/>
      <c r="O57" s="361">
        <f t="shared" si="4"/>
        <v>1982480</v>
      </c>
      <c r="P57" s="384">
        <f t="shared" si="4"/>
        <v>7480597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7870674</v>
      </c>
      <c r="G58" s="261">
        <f>+ROUND(+SUM(G53:G57),0)</f>
        <v>31605592</v>
      </c>
      <c r="H58" s="15"/>
      <c r="I58" s="262">
        <f>+ROUND(+SUM(I53:I57),0)</f>
        <v>113382</v>
      </c>
      <c r="J58" s="261">
        <f>+ROUND(+SUM(J53:J57),0)</f>
        <v>291482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7984056</v>
      </c>
      <c r="P58" s="382">
        <f>+ROUND(+SUM(P53:P57),0)</f>
        <v>31897074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23408</v>
      </c>
      <c r="G61" s="233">
        <v>1450273</v>
      </c>
      <c r="H61" s="15"/>
      <c r="I61" s="234"/>
      <c r="J61" s="233">
        <v>145342</v>
      </c>
      <c r="K61" s="227"/>
      <c r="L61" s="234"/>
      <c r="M61" s="233"/>
      <c r="N61" s="227"/>
      <c r="O61" s="361">
        <f t="shared" si="5"/>
        <v>23408</v>
      </c>
      <c r="P61" s="384">
        <f t="shared" si="5"/>
        <v>1595615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86</v>
      </c>
      <c r="G62" s="233">
        <v>545</v>
      </c>
      <c r="H62" s="15"/>
      <c r="I62" s="234"/>
      <c r="J62" s="233">
        <v>143626</v>
      </c>
      <c r="K62" s="227"/>
      <c r="L62" s="234"/>
      <c r="M62" s="233"/>
      <c r="N62" s="227"/>
      <c r="O62" s="361">
        <f t="shared" si="5"/>
        <v>86</v>
      </c>
      <c r="P62" s="384">
        <f t="shared" si="5"/>
        <v>144171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23494</v>
      </c>
      <c r="G65" s="261">
        <f>+ROUND(+SUM(G60:G63),0)</f>
        <v>1450818</v>
      </c>
      <c r="H65" s="15"/>
      <c r="I65" s="262">
        <f>+ROUND(+SUM(I60:I63),0)</f>
        <v>0</v>
      </c>
      <c r="J65" s="261">
        <f>+ROUND(+SUM(J60:J63),0)</f>
        <v>288968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23494</v>
      </c>
      <c r="P65" s="382">
        <f>+ROUND(+SUM(P60:P63),0)</f>
        <v>1739786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585802</v>
      </c>
      <c r="G71" s="259">
        <v>1425759</v>
      </c>
      <c r="H71" s="15"/>
      <c r="I71" s="260">
        <v>480122</v>
      </c>
      <c r="J71" s="259">
        <v>750918</v>
      </c>
      <c r="K71" s="227"/>
      <c r="L71" s="260"/>
      <c r="M71" s="259"/>
      <c r="N71" s="227"/>
      <c r="O71" s="366">
        <f>+ROUND(+F71+I71+L71,0)</f>
        <v>1065924</v>
      </c>
      <c r="P71" s="359">
        <f>+ROUND(+G71+J71+M71,0)</f>
        <v>2176677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585802</v>
      </c>
      <c r="G73" s="261">
        <f>+ROUND(+SUM(G71:G72),0)</f>
        <v>1425759</v>
      </c>
      <c r="H73" s="15"/>
      <c r="I73" s="262">
        <f>+ROUND(+SUM(I71:I72),0)</f>
        <v>480122</v>
      </c>
      <c r="J73" s="261">
        <f>+ROUND(+SUM(J71:J72),0)</f>
        <v>750918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1065924</v>
      </c>
      <c r="P73" s="382">
        <f>+ROUND(+SUM(P71:P72),0)</f>
        <v>2176677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8479970</v>
      </c>
      <c r="G79" s="272">
        <f>+ROUND(G58+G65+G69+G73+G77,0)</f>
        <v>34482169</v>
      </c>
      <c r="H79" s="15"/>
      <c r="I79" s="269">
        <f>+ROUND(I58+I65+I69+I73+I77,0)</f>
        <v>593504</v>
      </c>
      <c r="J79" s="272">
        <f>+ROUND(J58+J65+J69+J73+J77,0)</f>
        <v>1331368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9073474</v>
      </c>
      <c r="P79" s="392">
        <f>+ROUND(P58+P65+P69+P73+P77,0)</f>
        <v>35813537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4011185</v>
      </c>
      <c r="G81" s="229">
        <v>38197069</v>
      </c>
      <c r="H81" s="15"/>
      <c r="I81" s="230">
        <v>-22425</v>
      </c>
      <c r="J81" s="229">
        <v>1167733</v>
      </c>
      <c r="K81" s="227"/>
      <c r="L81" s="230"/>
      <c r="M81" s="229"/>
      <c r="N81" s="227"/>
      <c r="O81" s="365">
        <f>+ROUND(+F81+I81+L81,0)</f>
        <v>3988760</v>
      </c>
      <c r="P81" s="378">
        <f>+ROUND(+G81+J81+M81,0)</f>
        <v>39364802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4011185</v>
      </c>
      <c r="G83" s="270">
        <f>+ROUND(G81+G82,0)</f>
        <v>38197069</v>
      </c>
      <c r="H83" s="15"/>
      <c r="I83" s="271">
        <f>+ROUND(I81+I82,0)</f>
        <v>-22425</v>
      </c>
      <c r="J83" s="270">
        <f>+ROUND(J81+J82,0)</f>
        <v>1167733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3988760</v>
      </c>
      <c r="P83" s="387">
        <f>+ROUND(P81+P82,0)</f>
        <v>39364802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-4171149</v>
      </c>
      <c r="G85" s="291">
        <f>+ROUND(G50,0)-ROUND(G79,0)+ROUND(G83,0)</f>
        <v>4586725</v>
      </c>
      <c r="H85" s="15"/>
      <c r="I85" s="292">
        <f>+ROUND(I50,0)-ROUND(I79,0)+ROUND(I83,0)</f>
        <v>-616550</v>
      </c>
      <c r="J85" s="291">
        <f>+ROUND(J50,0)-ROUND(J79,0)+ROUND(J83,0)</f>
        <v>-132790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-4787699</v>
      </c>
      <c r="P85" s="389">
        <f>+ROUND(P50,0)-ROUND(P79,0)+ROUND(P83,0)</f>
        <v>4453935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4171149</v>
      </c>
      <c r="G86" s="293">
        <f>+ROUND(G103,0)+ROUND(G122,0)+ROUND(G129,0)-ROUND(G134,0)</f>
        <v>-4586725</v>
      </c>
      <c r="H86" s="15"/>
      <c r="I86" s="294">
        <f>+ROUND(I103,0)+ROUND(I122,0)+ROUND(I129,0)-ROUND(I134,0)</f>
        <v>616550</v>
      </c>
      <c r="J86" s="293">
        <f>+ROUND(J103,0)+ROUND(J122,0)+ROUND(J129,0)-ROUND(J134,0)</f>
        <v>132790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4787699</v>
      </c>
      <c r="P86" s="391">
        <f>+ROUND(P103,0)+ROUND(P122,0)+ROUND(P129,0)-ROUND(P134,0)</f>
        <v>-4453935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1550</v>
      </c>
      <c r="G100" s="233">
        <v>824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1550</v>
      </c>
      <c r="P100" s="384">
        <f>+ROUND(+G100+J100+M100,0)</f>
        <v>824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1550</v>
      </c>
      <c r="G101" s="235">
        <f>+ROUND(+SUM(G99:G100),0)</f>
        <v>824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1550</v>
      </c>
      <c r="P101" s="363">
        <f>+ROUND(+SUM(P99:P100),0)</f>
        <v>824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1550</v>
      </c>
      <c r="G103" s="257">
        <f>+ROUND(G91+G97+G101,0)</f>
        <v>824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1550</v>
      </c>
      <c r="P103" s="380">
        <f>+ROUND(P91+P97+P101,0)</f>
        <v>824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-15035</v>
      </c>
      <c r="M118" s="259">
        <v>-7810</v>
      </c>
      <c r="N118" s="227"/>
      <c r="O118" s="366">
        <f>+ROUND(+F118+I118+L118,0)</f>
        <v>-15035</v>
      </c>
      <c r="P118" s="359">
        <f>+ROUND(+G118+J118+M118,0)</f>
        <v>-7810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-15035</v>
      </c>
      <c r="M120" s="261">
        <f>+ROUND(+SUM(M118:M119),0)</f>
        <v>-7810</v>
      </c>
      <c r="N120" s="227"/>
      <c r="O120" s="381">
        <f>+ROUND(+SUM(O118:O119),0)</f>
        <v>-15035</v>
      </c>
      <c r="P120" s="382">
        <f>+ROUND(+SUM(P118:P119),0)</f>
        <v>-7810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-15035</v>
      </c>
      <c r="M122" s="272">
        <f>+ROUND(M108+M112+M116+M120,0)</f>
        <v>-7810</v>
      </c>
      <c r="N122" s="227"/>
      <c r="O122" s="385">
        <f>+ROUND(O108+O112+O116+O120,0)</f>
        <v>-15035</v>
      </c>
      <c r="P122" s="392">
        <f>+ROUND(P108+P112+P116+P120,0)</f>
        <v>-7810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-616550</v>
      </c>
      <c r="G125" s="233">
        <v>-132791</v>
      </c>
      <c r="H125" s="15"/>
      <c r="I125" s="234">
        <v>616550</v>
      </c>
      <c r="J125" s="233">
        <v>132790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-1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-15603</v>
      </c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-15603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-632153</v>
      </c>
      <c r="G129" s="270">
        <f>+ROUND(+SUM(G124,G125,G126,G128),0)</f>
        <v>-132791</v>
      </c>
      <c r="H129" s="15"/>
      <c r="I129" s="271">
        <f>+ROUND(+SUM(I124,I125,I126,I128),0)</f>
        <v>616550</v>
      </c>
      <c r="J129" s="270">
        <f>+ROUND(+SUM(J124,J125,J126,J128),0)</f>
        <v>132790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-15603</v>
      </c>
      <c r="P129" s="387">
        <f>+ROUND(+SUM(P124,P125,P126,P128),0)</f>
        <v>-1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16247359</v>
      </c>
      <c r="G131" s="229">
        <v>11792601</v>
      </c>
      <c r="H131" s="15"/>
      <c r="I131" s="230"/>
      <c r="J131" s="229"/>
      <c r="K131" s="227"/>
      <c r="L131" s="230">
        <v>120134</v>
      </c>
      <c r="M131" s="229">
        <v>127944</v>
      </c>
      <c r="N131" s="227"/>
      <c r="O131" s="365">
        <f aca="true" t="shared" si="8" ref="O131:P133">+ROUND(+F131+I131+L131,0)</f>
        <v>16367493</v>
      </c>
      <c r="P131" s="378">
        <f t="shared" si="8"/>
        <v>11920545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11445607</v>
      </c>
      <c r="G133" s="233">
        <v>16247359</v>
      </c>
      <c r="H133" s="15"/>
      <c r="I133" s="234"/>
      <c r="J133" s="233"/>
      <c r="K133" s="227"/>
      <c r="L133" s="234">
        <v>105099</v>
      </c>
      <c r="M133" s="233">
        <v>120134</v>
      </c>
      <c r="N133" s="227"/>
      <c r="O133" s="361">
        <f t="shared" si="8"/>
        <v>11550706</v>
      </c>
      <c r="P133" s="384">
        <f t="shared" si="8"/>
        <v>16367493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-4801752</v>
      </c>
      <c r="G134" s="275">
        <f>+ROUND(+G133-G131-G132,0)</f>
        <v>4454758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-15035</v>
      </c>
      <c r="M134" s="275">
        <f>+ROUND(+M133-M131-M132,0)</f>
        <v>-7810</v>
      </c>
      <c r="N134" s="227"/>
      <c r="O134" s="394">
        <f>+ROUND(+O133-O131-O132,0)</f>
        <v>-4816787</v>
      </c>
      <c r="P134" s="395">
        <f>+ROUND(+P133-P131-P132,0)</f>
        <v>4446948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-4801752</v>
      </c>
      <c r="G142" s="537">
        <f>+G134+G140</f>
        <v>4454758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-15035</v>
      </c>
      <c r="M142" s="537">
        <f>+M134+M140</f>
        <v>-7810</v>
      </c>
      <c r="N142" s="227"/>
      <c r="O142" s="394">
        <f>+O134+O140</f>
        <v>-4816787</v>
      </c>
      <c r="P142" s="395">
        <f>+P134+P140</f>
        <v>4446948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10042023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456</v>
      </c>
      <c r="G148" s="792"/>
      <c r="H148" s="792"/>
      <c r="I148" s="793"/>
      <c r="J148" s="346"/>
      <c r="K148" s="16"/>
      <c r="L148" s="346" t="s">
        <v>234</v>
      </c>
      <c r="M148" s="791" t="s">
        <v>457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11445607</v>
      </c>
      <c r="G160" s="566">
        <f>+G133+G139</f>
        <v>16247359</v>
      </c>
      <c r="I160" s="565">
        <f>+I133+I139</f>
        <v>0</v>
      </c>
      <c r="J160" s="566">
        <f>+J133+J139</f>
        <v>0</v>
      </c>
      <c r="K160" s="227"/>
      <c r="L160" s="565">
        <f>+L133+L139</f>
        <v>105099</v>
      </c>
      <c r="M160" s="566">
        <f>+M133+M139</f>
        <v>120134</v>
      </c>
      <c r="N160" s="227"/>
      <c r="O160" s="569">
        <f>+ROUND(+F160+I160+L160,0)</f>
        <v>11550706</v>
      </c>
      <c r="P160" s="570">
        <f>+ROUND(+G160+J160+M160,0)</f>
        <v>16367493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11445607</v>
      </c>
      <c r="G161" s="563">
        <v>16247359</v>
      </c>
      <c r="I161" s="562"/>
      <c r="J161" s="563"/>
      <c r="K161" s="227"/>
      <c r="L161" s="562">
        <v>105099</v>
      </c>
      <c r="M161" s="563">
        <v>120134</v>
      </c>
      <c r="N161" s="227"/>
      <c r="O161" s="571">
        <f>+ROUND(+F161+I161+L161,0)</f>
        <v>11550706</v>
      </c>
      <c r="P161" s="572">
        <f>+ROUND(+G161+J161+M161,0)</f>
        <v>16367493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31.03.2023 г.</v>
      </c>
      <c r="G162" s="556">
        <f>+G11</f>
        <v>2022</v>
      </c>
      <c r="I162" s="594" t="str">
        <f>+I11</f>
        <v>31.03.2023 г.</v>
      </c>
      <c r="J162" s="558">
        <f>+J11</f>
        <v>2022</v>
      </c>
      <c r="K162" s="11"/>
      <c r="L162" s="595" t="str">
        <f>+L11</f>
        <v>31.03.2023 г.</v>
      </c>
      <c r="M162" s="561">
        <f>+M11</f>
        <v>2022</v>
      </c>
      <c r="N162" s="11"/>
      <c r="O162" s="596" t="str">
        <f>+O11</f>
        <v>31.03.2023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7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НВУ "ВАСИЛ ЛЕВСКИ" ГР. ВЕЛИКО ТЪРНОВО 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129009094</v>
      </c>
      <c r="J1" s="808"/>
      <c r="K1" s="439"/>
      <c r="L1" s="440" t="s">
        <v>245</v>
      </c>
      <c r="M1" s="441">
        <f>+'Cash-Flow-2023-Leva'!M1</f>
        <v>1282</v>
      </c>
      <c r="N1" s="439"/>
      <c r="O1" s="440" t="s">
        <v>239</v>
      </c>
      <c r="P1" s="451">
        <f>+'Cash-Flow-2023-Leva'!P1</f>
        <v>62081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НВУ "ВАСИЛ ЛЕВСКИ" ГР. ВЕЛИКО ТЪРНОВО 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31.03.2023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31.03.2023 г.</v>
      </c>
      <c r="G11" s="396">
        <f>+'Cash-Flow-2023-Leva'!G11</f>
        <v>2022</v>
      </c>
      <c r="H11" s="5"/>
      <c r="I11" s="589" t="str">
        <f>+O8</f>
        <v>31.03.2023 г.</v>
      </c>
      <c r="J11" s="397">
        <f>+'Cash-Flow-2023-Leva'!J11</f>
        <v>2022</v>
      </c>
      <c r="K11" s="5"/>
      <c r="L11" s="590" t="str">
        <f>+O8</f>
        <v>31.03.2023 г.</v>
      </c>
      <c r="M11" s="398">
        <f>+'Cash-Flow-2023-Leva'!M11</f>
        <v>2022</v>
      </c>
      <c r="N11" s="462"/>
      <c r="O11" s="591" t="str">
        <f>+O8</f>
        <v>31.03.2023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0.037</v>
      </c>
      <c r="G18" s="255">
        <f>+'Cash-Flow-2023-Leva'!G18/1000</f>
        <v>1.743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0.037</v>
      </c>
      <c r="P18" s="378">
        <f t="shared" si="1"/>
        <v>1.743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302.817</v>
      </c>
      <c r="G19" s="278">
        <f>+'Cash-Flow-2023-Leva'!G19/1000</f>
        <v>804.567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302.817</v>
      </c>
      <c r="P19" s="412">
        <f t="shared" si="1"/>
        <v>804.567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20.983</v>
      </c>
      <c r="G20" s="278">
        <f>+'Cash-Flow-2023-Leva'!G20/1000</f>
        <v>95.134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20.983</v>
      </c>
      <c r="P20" s="412">
        <f t="shared" si="1"/>
        <v>95.134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-0.001</v>
      </c>
      <c r="G24" s="267">
        <f>+'Cash-Flow-2023-Leva'!G24/1000</f>
        <v>44.753</v>
      </c>
      <c r="H24" s="277"/>
      <c r="I24" s="268">
        <f>+'Cash-Flow-2023-Leva'!I24/1000</f>
        <v>-0.621</v>
      </c>
      <c r="J24" s="267">
        <f>+'Cash-Flow-2023-Leva'!J24/1000</f>
        <v>-1.495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-0.622</v>
      </c>
      <c r="P24" s="384">
        <f t="shared" si="1"/>
        <v>43.258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323.836</v>
      </c>
      <c r="G25" s="235">
        <f>+SUM(G15,G16,G18,G19,G20,G21,G22,G23,G24)</f>
        <v>946.1970000000001</v>
      </c>
      <c r="H25" s="277"/>
      <c r="I25" s="236">
        <f>+SUM(I15,I16,I18,I19,I20,I21,I22,I23,I24)</f>
        <v>-0.621</v>
      </c>
      <c r="J25" s="235">
        <f>+SUM(J15,J16,J18,J19,J20,J21,J22,J23,J24)</f>
        <v>-1.495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323.215</v>
      </c>
      <c r="P25" s="363">
        <f>+SUM(P15,P16,P18,P19,P20,P21,P22,P23,P24)</f>
        <v>944.7020000000001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19.705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19.705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19.705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19.705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-27.202</v>
      </c>
      <c r="G37" s="235">
        <f>+'Cash-Flow-2023-Leva'!G37/1000</f>
        <v>-96.077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-27.202</v>
      </c>
      <c r="P37" s="363">
        <f t="shared" si="3"/>
        <v>-96.077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-19.302</v>
      </c>
      <c r="G38" s="280">
        <f>+'Cash-Flow-2023-Leva'!G38/1000</f>
        <v>-86.26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-19.302</v>
      </c>
      <c r="P38" s="413">
        <f t="shared" si="3"/>
        <v>-86.26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-7.9</v>
      </c>
      <c r="G39" s="282">
        <f>+'Cash-Flow-2023-Leva'!G39/1000</f>
        <v>-9.817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-7.9</v>
      </c>
      <c r="P39" s="414">
        <f t="shared" si="3"/>
        <v>-9.817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1.002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1.002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32.34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32.34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2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2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2</v>
      </c>
      <c r="H48" s="277"/>
      <c r="I48" s="236">
        <f>+SUM(I44:I47)</f>
        <v>0</v>
      </c>
      <c r="J48" s="235">
        <f>+SUM(J44:J47)</f>
        <v>32.34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34.34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297.636</v>
      </c>
      <c r="G50" s="257">
        <f>+G25+G30+G37+G42+G48</f>
        <v>871.8250000000002</v>
      </c>
      <c r="H50" s="277"/>
      <c r="I50" s="258">
        <f>+I25+I30+I37+I42+I48</f>
        <v>-0.621</v>
      </c>
      <c r="J50" s="257">
        <f>+J25+J30+J37+J42+J48</f>
        <v>30.845000000000002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297.015</v>
      </c>
      <c r="P50" s="380">
        <f>+P25+P30+P37+P42+P48</f>
        <v>902.6700000000002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1494.228</v>
      </c>
      <c r="G53" s="228">
        <f>+'Cash-Flow-2023-Leva'!G53/1000</f>
        <v>7528.75</v>
      </c>
      <c r="H53" s="277"/>
      <c r="I53" s="238">
        <f>+'Cash-Flow-2023-Leva'!I53/1000</f>
        <v>26.877</v>
      </c>
      <c r="J53" s="228">
        <f>+'Cash-Flow-2023-Leva'!J53/1000</f>
        <v>116.396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1521.105</v>
      </c>
      <c r="P53" s="359">
        <f t="shared" si="5"/>
        <v>7645.146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0</v>
      </c>
      <c r="G54" s="267">
        <f>+'Cash-Flow-2023-Leva'!G54/1000</f>
        <v>30.838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0</v>
      </c>
      <c r="P54" s="384">
        <f t="shared" si="5"/>
        <v>30.838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0.08</v>
      </c>
      <c r="G55" s="267">
        <f>+'Cash-Flow-2023-Leva'!G55/1000</f>
        <v>0.711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0.08</v>
      </c>
      <c r="P55" s="384">
        <f t="shared" si="5"/>
        <v>0.711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4398.473</v>
      </c>
      <c r="G56" s="267">
        <f>+'Cash-Flow-2023-Leva'!G56/1000</f>
        <v>16580.113</v>
      </c>
      <c r="H56" s="277"/>
      <c r="I56" s="268">
        <f>+'Cash-Flow-2023-Leva'!I56/1000</f>
        <v>81.918</v>
      </c>
      <c r="J56" s="267">
        <f>+'Cash-Flow-2023-Leva'!J56/1000</f>
        <v>159.669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4480.391</v>
      </c>
      <c r="P56" s="384">
        <f t="shared" si="5"/>
        <v>16739.782000000003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1977.893</v>
      </c>
      <c r="G57" s="267">
        <f>+'Cash-Flow-2023-Leva'!G57/1000</f>
        <v>7465.18</v>
      </c>
      <c r="H57" s="277"/>
      <c r="I57" s="268">
        <f>+'Cash-Flow-2023-Leva'!I57/1000</f>
        <v>4.587</v>
      </c>
      <c r="J57" s="267">
        <f>+'Cash-Flow-2023-Leva'!J57/1000</f>
        <v>15.417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1982.48</v>
      </c>
      <c r="P57" s="384">
        <f t="shared" si="5"/>
        <v>7480.597000000001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7870.674</v>
      </c>
      <c r="G58" s="261">
        <f>+SUM(G53:G57)</f>
        <v>31605.592</v>
      </c>
      <c r="H58" s="277"/>
      <c r="I58" s="262">
        <f>+SUM(I53:I57)</f>
        <v>113.382</v>
      </c>
      <c r="J58" s="261">
        <f>+SUM(J53:J57)</f>
        <v>291.48199999999997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7984.055999999999</v>
      </c>
      <c r="P58" s="382">
        <f>+SUM(P53:P57)</f>
        <v>31897.074000000004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23.408</v>
      </c>
      <c r="G61" s="267">
        <f>+'Cash-Flow-2023-Leva'!G61/1000</f>
        <v>1450.273</v>
      </c>
      <c r="H61" s="277"/>
      <c r="I61" s="268">
        <f>+'Cash-Flow-2023-Leva'!I61/1000</f>
        <v>0</v>
      </c>
      <c r="J61" s="267">
        <f>+'Cash-Flow-2023-Leva'!J61/1000</f>
        <v>145.342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23.408</v>
      </c>
      <c r="P61" s="384">
        <f t="shared" si="6"/>
        <v>1595.615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0.086</v>
      </c>
      <c r="G62" s="267">
        <f>+'Cash-Flow-2023-Leva'!G62/1000</f>
        <v>0.545</v>
      </c>
      <c r="H62" s="277"/>
      <c r="I62" s="268">
        <f>+'Cash-Flow-2023-Leva'!I62/1000</f>
        <v>0</v>
      </c>
      <c r="J62" s="267">
        <f>+'Cash-Flow-2023-Leva'!J62/1000</f>
        <v>143.626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0.086</v>
      </c>
      <c r="P62" s="384">
        <f t="shared" si="6"/>
        <v>144.171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23.494</v>
      </c>
      <c r="G65" s="261">
        <f>+SUM(G60:G63)</f>
        <v>1450.818</v>
      </c>
      <c r="H65" s="277"/>
      <c r="I65" s="262">
        <f>+SUM(I60:I63)</f>
        <v>0</v>
      </c>
      <c r="J65" s="261">
        <f>+SUM(J60:J63)</f>
        <v>288.968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23.494</v>
      </c>
      <c r="P65" s="382">
        <f>+SUM(P60:P63)</f>
        <v>1739.786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585.802</v>
      </c>
      <c r="G71" s="228">
        <f>+'Cash-Flow-2023-Leva'!G71/1000</f>
        <v>1425.759</v>
      </c>
      <c r="H71" s="277"/>
      <c r="I71" s="238">
        <f>+'Cash-Flow-2023-Leva'!I71/1000</f>
        <v>480.122</v>
      </c>
      <c r="J71" s="228">
        <f>+'Cash-Flow-2023-Leva'!J71/1000</f>
        <v>750.918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1065.924</v>
      </c>
      <c r="P71" s="359">
        <f>+G71+J71+M71</f>
        <v>2176.677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585.802</v>
      </c>
      <c r="G73" s="261">
        <f>+SUM(G71:G72)</f>
        <v>1425.759</v>
      </c>
      <c r="H73" s="277"/>
      <c r="I73" s="262">
        <f>+SUM(I71:I72)</f>
        <v>480.122</v>
      </c>
      <c r="J73" s="261">
        <f>+SUM(J71:J72)</f>
        <v>750.918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1065.924</v>
      </c>
      <c r="P73" s="382">
        <f>+SUM(P71:P72)</f>
        <v>2176.677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8479.97</v>
      </c>
      <c r="G79" s="272">
        <f>+G58+G65+G69+G73+G77</f>
        <v>34482.169</v>
      </c>
      <c r="H79" s="277"/>
      <c r="I79" s="269">
        <f>+I58+I65+I69+I73+I77</f>
        <v>593.504</v>
      </c>
      <c r="J79" s="272">
        <f>+J58+J65+J69+J73+J77</f>
        <v>1331.368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9073.473999999998</v>
      </c>
      <c r="P79" s="392">
        <f>+P58+P65+P69+P73+P77</f>
        <v>35813.537000000004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4011.185</v>
      </c>
      <c r="G81" s="255">
        <f>+'Cash-Flow-2023-Leva'!G81/1000</f>
        <v>38197.069</v>
      </c>
      <c r="H81" s="277"/>
      <c r="I81" s="256">
        <f>+'Cash-Flow-2023-Leva'!I81/1000</f>
        <v>-22.425</v>
      </c>
      <c r="J81" s="255">
        <f>+'Cash-Flow-2023-Leva'!J81/1000</f>
        <v>1167.733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3988.7599999999998</v>
      </c>
      <c r="P81" s="378">
        <f>+G81+J81+M81</f>
        <v>39364.802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4011.185</v>
      </c>
      <c r="G83" s="270">
        <f>+G81+G82</f>
        <v>38197.069</v>
      </c>
      <c r="H83" s="277"/>
      <c r="I83" s="271">
        <f>+I81+I82</f>
        <v>-22.425</v>
      </c>
      <c r="J83" s="270">
        <f>+J81+J82</f>
        <v>1167.733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3988.7599999999998</v>
      </c>
      <c r="P83" s="387">
        <f>+P81+P82</f>
        <v>39364.802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-4171.148999999999</v>
      </c>
      <c r="G85" s="291">
        <f>+G50-G79+G83</f>
        <v>4586.7249999999985</v>
      </c>
      <c r="H85" s="277"/>
      <c r="I85" s="292">
        <f>+I50-I79+I83</f>
        <v>-616.55</v>
      </c>
      <c r="J85" s="291">
        <f>+J50-J79+J83</f>
        <v>-132.78999999999996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-4787.698999999999</v>
      </c>
      <c r="P85" s="389">
        <f>+P50-P79+P83</f>
        <v>4453.934999999998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4171.149</v>
      </c>
      <c r="G86" s="293">
        <f>+G103+G122+G129-G134</f>
        <v>-4586.724999999999</v>
      </c>
      <c r="H86" s="277"/>
      <c r="I86" s="294">
        <f>+I103+I122+I129-I134</f>
        <v>616.55</v>
      </c>
      <c r="J86" s="293">
        <f>+J103+J122+J129-J134</f>
        <v>132.79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4787.6990000000005</v>
      </c>
      <c r="P86" s="391">
        <f>+P103+P122+P129-P134</f>
        <v>-4453.935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1.55</v>
      </c>
      <c r="G100" s="267">
        <f>+'Cash-Flow-2023-Leva'!G100/1000</f>
        <v>0.824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1.55</v>
      </c>
      <c r="P100" s="384">
        <f>+G100+J100+M100</f>
        <v>0.824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1.55</v>
      </c>
      <c r="G101" s="235">
        <f>+SUM(G99:G100)</f>
        <v>0.824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1.55</v>
      </c>
      <c r="P101" s="363">
        <f>+SUM(P99:P100)</f>
        <v>0.824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1.55</v>
      </c>
      <c r="G103" s="257">
        <f>+G91+G97+G101</f>
        <v>0.824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1.55</v>
      </c>
      <c r="P103" s="380">
        <f>+P91+P97+P101</f>
        <v>0.824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-15.035</v>
      </c>
      <c r="M118" s="228">
        <f>+'Cash-Flow-2023-Leva'!M118/1000</f>
        <v>-7.81</v>
      </c>
      <c r="N118" s="463"/>
      <c r="O118" s="366">
        <f>+F118+I118+L118</f>
        <v>-15.035</v>
      </c>
      <c r="P118" s="359">
        <f>+G118+J118+M118</f>
        <v>-7.81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-15.035</v>
      </c>
      <c r="M120" s="261">
        <f>+SUM(M118:M119)</f>
        <v>-7.81</v>
      </c>
      <c r="N120" s="463"/>
      <c r="O120" s="381">
        <f>+SUM(O118:O119)</f>
        <v>-15.035</v>
      </c>
      <c r="P120" s="382">
        <f>+SUM(P118:P119)</f>
        <v>-7.81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-15.035</v>
      </c>
      <c r="M122" s="272">
        <f>+M108+M112+M116+M120</f>
        <v>-7.81</v>
      </c>
      <c r="N122" s="463"/>
      <c r="O122" s="385">
        <f>+O108+O112+O116+O120</f>
        <v>-15.035</v>
      </c>
      <c r="P122" s="392">
        <f>+P108+P112+P116+P120</f>
        <v>-7.81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-616.55</v>
      </c>
      <c r="G125" s="267">
        <f>+'Cash-Flow-2023-Leva'!G125/1000</f>
        <v>-132.791</v>
      </c>
      <c r="H125" s="277"/>
      <c r="I125" s="268">
        <f>+'Cash-Flow-2023-Leva'!I125/1000</f>
        <v>616.55</v>
      </c>
      <c r="J125" s="267">
        <f>+'Cash-Flow-2023-Leva'!J125/1000</f>
        <v>132.79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</v>
      </c>
      <c r="P125" s="384">
        <f t="shared" si="8"/>
        <v>-0.0010000000000047748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-15.603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-15.603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-632.1529999999999</v>
      </c>
      <c r="G129" s="270">
        <f>+SUM(G124,G125,G126,G128)</f>
        <v>-132.791</v>
      </c>
      <c r="H129" s="277"/>
      <c r="I129" s="271">
        <f>+SUM(I124,I125,I126,I128)</f>
        <v>616.55</v>
      </c>
      <c r="J129" s="270">
        <f>+SUM(J124,J125,J126,J128)</f>
        <v>132.79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-15.603</v>
      </c>
      <c r="P129" s="387">
        <f>+SUM(P124,P125,P126,P128)</f>
        <v>-0.0010000000000047748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16247.359</v>
      </c>
      <c r="G131" s="255">
        <f>+'Cash-Flow-2023-Leva'!G131/1000</f>
        <v>11792.601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120.134</v>
      </c>
      <c r="M131" s="255">
        <f>+'Cash-Flow-2023-Leva'!M131/1000</f>
        <v>127.944</v>
      </c>
      <c r="N131" s="463"/>
      <c r="O131" s="365">
        <f aca="true" t="shared" si="9" ref="O131:P133">+F131+I131+L131</f>
        <v>16367.493</v>
      </c>
      <c r="P131" s="378">
        <f t="shared" si="9"/>
        <v>11920.545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11445.607</v>
      </c>
      <c r="G133" s="267">
        <f>+'Cash-Flow-2023-Leva'!G133/1000</f>
        <v>16247.359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105.099</v>
      </c>
      <c r="M133" s="267">
        <f>+'Cash-Flow-2023-Leva'!M133/1000</f>
        <v>120.134</v>
      </c>
      <c r="N133" s="463"/>
      <c r="O133" s="361">
        <f t="shared" si="9"/>
        <v>11550.706</v>
      </c>
      <c r="P133" s="384">
        <f t="shared" si="9"/>
        <v>16367.493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-4801.752</v>
      </c>
      <c r="G134" s="275">
        <f>+G133-G131-G132</f>
        <v>4454.758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-15.034999999999997</v>
      </c>
      <c r="M134" s="275">
        <f>+M133-M131-M132</f>
        <v>-7.810000000000002</v>
      </c>
      <c r="N134" s="463"/>
      <c r="O134" s="394">
        <f>+O133-O131-O132</f>
        <v>-4816.787</v>
      </c>
      <c r="P134" s="395">
        <f>+P133-P131-P132</f>
        <v>4446.948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-4801.752</v>
      </c>
      <c r="G142" s="275">
        <f>+G134+G140</f>
        <v>4454.758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-15.034999999999997</v>
      </c>
      <c r="M142" s="537">
        <f>+M134+M140</f>
        <v>-7.810000000000002</v>
      </c>
      <c r="N142" s="463"/>
      <c r="O142" s="549">
        <f>+O134+O140</f>
        <v>-4816.787</v>
      </c>
      <c r="P142" s="550">
        <f>+P134+P140</f>
        <v>4446.948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10042023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3" manualBreakCount="3">
    <brk id="57" min="1" max="15" man="1"/>
    <brk id="103" min="1" max="15" man="1"/>
    <brk id="148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2023-04-10T09:47:15Z</cp:lastPrinted>
  <dcterms:created xsi:type="dcterms:W3CDTF">2015-12-01T07:17:04Z</dcterms:created>
  <dcterms:modified xsi:type="dcterms:W3CDTF">2023-04-10T09:48:18Z</dcterms:modified>
  <cp:category/>
  <cp:version/>
  <cp:contentType/>
  <cp:contentStatus/>
</cp:coreProperties>
</file>